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cott\Dropbox\Aerovalley Flying Club\Aerovalley Flying Club\Fleet\N3564W\"/>
    </mc:Choice>
  </mc:AlternateContent>
  <xr:revisionPtr revIDLastSave="0" documentId="13_ncr:1_{4187D1F9-C3D9-476D-973C-A8E659699C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&amp;B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  <c r="B22" i="1" s="1"/>
  <c r="B23" i="1" s="1"/>
  <c r="E6" i="1"/>
  <c r="E7" i="1"/>
  <c r="E8" i="1"/>
  <c r="E9" i="1"/>
  <c r="E10" i="1"/>
  <c r="C5" i="1"/>
  <c r="C4" i="1"/>
  <c r="C11" i="1" s="1"/>
  <c r="B16" i="1" s="1"/>
  <c r="B20" i="1" s="1"/>
  <c r="C13" i="1" s="1"/>
  <c r="E5" i="1"/>
  <c r="E4" i="1" l="1"/>
  <c r="E11" i="1"/>
  <c r="B13" i="1" s="1"/>
  <c r="C12" i="1"/>
  <c r="B12" i="1" l="1"/>
</calcChain>
</file>

<file path=xl/sharedStrings.xml><?xml version="1.0" encoding="utf-8"?>
<sst xmlns="http://schemas.openxmlformats.org/spreadsheetml/2006/main" count="26" uniqueCount="26">
  <si>
    <t>Station / Item</t>
  </si>
  <si>
    <t>Qty</t>
  </si>
  <si>
    <t>Weight</t>
  </si>
  <si>
    <t>ARM</t>
  </si>
  <si>
    <t>Moment</t>
  </si>
  <si>
    <t>Normal</t>
  </si>
  <si>
    <t>Empty Weight</t>
  </si>
  <si>
    <t>Oil</t>
  </si>
  <si>
    <t>Fuel</t>
  </si>
  <si>
    <t>Pilot and Front Pass</t>
  </si>
  <si>
    <t>Passengers Center</t>
  </si>
  <si>
    <t>Passengers Rear</t>
  </si>
  <si>
    <t>Baggage Front</t>
  </si>
  <si>
    <t>Baggage Rear</t>
  </si>
  <si>
    <t>Totals</t>
  </si>
  <si>
    <t>Takeoff CG</t>
  </si>
  <si>
    <t>Landing CG</t>
  </si>
  <si>
    <t>Max Gross Weight</t>
  </si>
  <si>
    <t>Take Off Weight</t>
  </si>
  <si>
    <t>Fuel Used for Taxi (in gal)</t>
  </si>
  <si>
    <t>Flight Time</t>
  </si>
  <si>
    <t>Expected Fuel Burn (gal/hr)</t>
  </si>
  <si>
    <t>Landing Weight</t>
  </si>
  <si>
    <t>Fuel Used</t>
  </si>
  <si>
    <t>Fuel Remaining</t>
  </si>
  <si>
    <t>Time Remaining (in 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</si>
</sst>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2" fontId="0" fillId="0" borderId="0" xfId="0" applyNumberFormat="1"/>
    <xf numFmtId="2" fontId="0" fillId="0" borderId="1" xfId="0" applyNumberFormat="1" applyBorder="1"/>
    <xf numFmtId="2" fontId="2" fillId="2" borderId="2" xfId="0" applyNumberFormat="1" applyFont="1" applyFill="1" applyBorder="1" applyProtection="1">
      <protection locked="0"/>
    </xf>
    <xf numFmtId="0" fontId="1" fillId="0" borderId="3" xfId="0" applyFont="1" applyBorder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CG</a:t>
            </a:r>
            <a:r>
              <a:rPr lang="en-US" baseline="0"/>
              <a:t> Envelope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Envelope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'W&amp;B'!$G$3:$G$9</c:f>
              <c:numCache>
                <c:formatCode>General</c:formatCode>
                <c:ptCount val="7"/>
                <c:pt idx="0">
                  <c:v>79</c:v>
                </c:pt>
                <c:pt idx="1">
                  <c:v>79</c:v>
                </c:pt>
                <c:pt idx="2">
                  <c:v>91.3</c:v>
                </c:pt>
                <c:pt idx="3">
                  <c:v>95.6</c:v>
                </c:pt>
                <c:pt idx="4">
                  <c:v>96.2</c:v>
                </c:pt>
                <c:pt idx="5">
                  <c:v>96.2</c:v>
                </c:pt>
                <c:pt idx="6">
                  <c:v>79</c:v>
                </c:pt>
              </c:numCache>
            </c:numRef>
          </c:xVal>
          <c:yVal>
            <c:numRef>
              <c:f>'W&amp;B'!$H$3:$H$9</c:f>
              <c:numCache>
                <c:formatCode>General</c:formatCode>
                <c:ptCount val="7"/>
                <c:pt idx="0" formatCode="0.00">
                  <c:v>1400</c:v>
                </c:pt>
                <c:pt idx="1">
                  <c:v>2220</c:v>
                </c:pt>
                <c:pt idx="2">
                  <c:v>3400</c:v>
                </c:pt>
                <c:pt idx="3" formatCode="0.00">
                  <c:v>3400</c:v>
                </c:pt>
                <c:pt idx="4">
                  <c:v>3300</c:v>
                </c:pt>
                <c:pt idx="5">
                  <c:v>1400</c:v>
                </c:pt>
                <c:pt idx="6" formatCode="0.00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06-4528-9203-1F0411111CC1}"/>
            </c:ext>
          </c:extLst>
        </c:ser>
        <c:ser>
          <c:idx val="1"/>
          <c:order val="1"/>
          <c:tx>
            <c:v>CG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'W&amp;B'!$B$12:$B$13</c:f>
              <c:numCache>
                <c:formatCode>0.00</c:formatCode>
                <c:ptCount val="2"/>
                <c:pt idx="0">
                  <c:v>95.484748106578337</c:v>
                </c:pt>
                <c:pt idx="1">
                  <c:v>95.515060909976256</c:v>
                </c:pt>
              </c:numCache>
            </c:numRef>
          </c:xVal>
          <c:yVal>
            <c:numRef>
              <c:f>'W&amp;B'!$C$12:$C$13</c:f>
              <c:numCache>
                <c:formatCode>0.00</c:formatCode>
                <c:ptCount val="2"/>
                <c:pt idx="0">
                  <c:v>3100.45</c:v>
                </c:pt>
                <c:pt idx="1">
                  <c:v>2926.45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06-4528-9203-1F0411111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957568"/>
        <c:axId val="393958128"/>
      </c:scatterChart>
      <c:valAx>
        <c:axId val="393957568"/>
        <c:scaling>
          <c:orientation val="minMax"/>
          <c:max val="97"/>
          <c:min val="7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INCHES</a:t>
                </a:r>
                <a:r>
                  <a:rPr lang="en-US" baseline="0"/>
                  <a:t> AFT OF DATUM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134641294838145"/>
              <c:y val="0.919546958804062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958128"/>
        <c:crosses val="autoZero"/>
        <c:crossBetween val="midCat"/>
        <c:majorUnit val="1"/>
      </c:valAx>
      <c:valAx>
        <c:axId val="393958128"/>
        <c:scaling>
          <c:orientation val="minMax"/>
          <c:max val="3600"/>
          <c:min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 IN POUNDS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326225892959032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957568"/>
        <c:crosses val="autoZero"/>
        <c:crossBetween val="midCat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</xdr:colOff>
      <xdr:row>1</xdr:row>
      <xdr:rowOff>19049</xdr:rowOff>
    </xdr:from>
    <xdr:to>
      <xdr:col>13</xdr:col>
      <xdr:colOff>309562</xdr:colOff>
      <xdr:row>18</xdr:row>
      <xdr:rowOff>85724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3"/>
  <sheetViews>
    <sheetView tabSelected="1" workbookViewId="0">
      <selection activeCell="C6" sqref="C6"/>
    </sheetView>
  </sheetViews>
  <sheetFormatPr defaultRowHeight="15"/>
  <cols>
    <col min="1" max="1" width="25.7109375" bestFit="1" customWidth="1"/>
    <col min="2" max="2" width="9.5703125" bestFit="1" customWidth="1"/>
    <col min="3" max="4" width="9.28515625" bestFit="1" customWidth="1"/>
    <col min="5" max="5" width="10.140625" bestFit="1" customWidth="1"/>
  </cols>
  <sheetData>
    <row r="2" spans="1:8" ht="15.75" thickBo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G2" t="s">
        <v>5</v>
      </c>
    </row>
    <row r="3" spans="1:8" ht="15.75" thickBot="1">
      <c r="A3" t="s">
        <v>6</v>
      </c>
      <c r="B3" s="2"/>
      <c r="C3" s="2">
        <v>1774.45</v>
      </c>
      <c r="D3" s="2">
        <v>80.06</v>
      </c>
      <c r="E3" s="2">
        <v>142064.54999999999</v>
      </c>
      <c r="G3">
        <v>79</v>
      </c>
      <c r="H3" s="2">
        <v>1400</v>
      </c>
    </row>
    <row r="4" spans="1:8" ht="16.5" thickTop="1" thickBot="1">
      <c r="A4" t="s">
        <v>7</v>
      </c>
      <c r="B4" s="4">
        <v>8</v>
      </c>
      <c r="C4" s="2">
        <f>B4/4*7.5</f>
        <v>15</v>
      </c>
      <c r="D4" s="2">
        <v>34.1</v>
      </c>
      <c r="E4" s="2">
        <f t="shared" ref="E4:E10" si="0">D4*C4</f>
        <v>511.5</v>
      </c>
      <c r="G4">
        <v>79</v>
      </c>
      <c r="H4">
        <v>2220</v>
      </c>
    </row>
    <row r="5" spans="1:8" ht="16.5" thickTop="1" thickBot="1">
      <c r="A5" t="s">
        <v>8</v>
      </c>
      <c r="B5" s="4">
        <v>50</v>
      </c>
      <c r="C5" s="2">
        <f>B5*6</f>
        <v>300</v>
      </c>
      <c r="D5" s="2">
        <v>95</v>
      </c>
      <c r="E5" s="2">
        <f t="shared" si="0"/>
        <v>28500</v>
      </c>
      <c r="G5">
        <v>91.3</v>
      </c>
      <c r="H5">
        <v>3400</v>
      </c>
    </row>
    <row r="6" spans="1:8" ht="16.5" thickTop="1" thickBot="1">
      <c r="A6" t="s">
        <v>9</v>
      </c>
      <c r="B6" s="2"/>
      <c r="C6" s="4">
        <v>350</v>
      </c>
      <c r="D6" s="2">
        <v>85.5</v>
      </c>
      <c r="E6" s="2">
        <f t="shared" si="0"/>
        <v>29925</v>
      </c>
      <c r="G6">
        <v>95.6</v>
      </c>
      <c r="H6" s="2">
        <v>3400</v>
      </c>
    </row>
    <row r="7" spans="1:8" ht="16.5" thickTop="1" thickBot="1">
      <c r="A7" t="s">
        <v>10</v>
      </c>
      <c r="B7" s="2"/>
      <c r="C7" s="4">
        <v>250</v>
      </c>
      <c r="D7" s="2">
        <v>120.2</v>
      </c>
      <c r="E7" s="2">
        <f t="shared" si="0"/>
        <v>30050</v>
      </c>
      <c r="G7">
        <v>96.2</v>
      </c>
      <c r="H7">
        <v>3300</v>
      </c>
    </row>
    <row r="8" spans="1:8" ht="16.5" thickTop="1" thickBot="1">
      <c r="A8" t="s">
        <v>11</v>
      </c>
      <c r="B8" s="2"/>
      <c r="C8" s="4">
        <v>400</v>
      </c>
      <c r="D8" s="2">
        <v>155.69999999999999</v>
      </c>
      <c r="E8" s="2">
        <f t="shared" si="0"/>
        <v>62279.999999999993</v>
      </c>
      <c r="G8">
        <v>96.2</v>
      </c>
      <c r="H8">
        <v>1400</v>
      </c>
    </row>
    <row r="9" spans="1:8" ht="16.5" thickTop="1" thickBot="1">
      <c r="A9" t="s">
        <v>12</v>
      </c>
      <c r="B9" s="2"/>
      <c r="C9" s="4">
        <v>0</v>
      </c>
      <c r="D9" s="2">
        <v>42</v>
      </c>
      <c r="E9" s="2">
        <f t="shared" si="0"/>
        <v>0</v>
      </c>
      <c r="G9">
        <v>79</v>
      </c>
      <c r="H9" s="2">
        <v>1400</v>
      </c>
    </row>
    <row r="10" spans="1:8" ht="16.5" thickTop="1" thickBot="1">
      <c r="A10" s="1" t="s">
        <v>13</v>
      </c>
      <c r="B10" s="3"/>
      <c r="C10" s="4">
        <v>20</v>
      </c>
      <c r="D10" s="3">
        <v>178.7</v>
      </c>
      <c r="E10" s="3">
        <f t="shared" si="0"/>
        <v>3574</v>
      </c>
    </row>
    <row r="11" spans="1:8" ht="15.75" thickTop="1">
      <c r="A11" t="s">
        <v>14</v>
      </c>
      <c r="B11" s="2"/>
      <c r="C11" s="2">
        <f>SUM(C3:C10)</f>
        <v>3109.45</v>
      </c>
      <c r="D11" s="2"/>
      <c r="E11" s="2">
        <f>SUM(E3:E10)</f>
        <v>296905.05</v>
      </c>
    </row>
    <row r="12" spans="1:8">
      <c r="A12" t="s">
        <v>15</v>
      </c>
      <c r="B12" s="6">
        <f>E11/C11</f>
        <v>95.484748106578337</v>
      </c>
      <c r="C12" s="6">
        <f>B16</f>
        <v>3100.45</v>
      </c>
      <c r="D12" s="2"/>
      <c r="E12" s="2"/>
    </row>
    <row r="13" spans="1:8">
      <c r="A13" t="s">
        <v>16</v>
      </c>
      <c r="B13" s="6">
        <f>((E11-E5)+((B22*6)*D5))/B20</f>
        <v>95.515060909976256</v>
      </c>
      <c r="C13" s="6">
        <f>B20</f>
        <v>2926.45</v>
      </c>
      <c r="D13" s="2"/>
      <c r="E13" s="2"/>
    </row>
    <row r="14" spans="1:8">
      <c r="A14" t="s">
        <v>17</v>
      </c>
      <c r="B14" s="2">
        <v>3400</v>
      </c>
      <c r="C14" s="2"/>
      <c r="D14" s="2"/>
      <c r="E14" s="2"/>
    </row>
    <row r="15" spans="1:8">
      <c r="C15" s="2"/>
      <c r="D15" s="2"/>
      <c r="E15" s="2"/>
    </row>
    <row r="16" spans="1:8" ht="15.75" thickBot="1">
      <c r="A16" t="s">
        <v>18</v>
      </c>
      <c r="B16" s="2">
        <f>C11-(B17*6)</f>
        <v>3100.45</v>
      </c>
      <c r="C16" s="2"/>
      <c r="D16" s="2"/>
      <c r="E16" s="2"/>
    </row>
    <row r="17" spans="1:5" ht="16.5" thickTop="1" thickBot="1">
      <c r="A17" t="s">
        <v>19</v>
      </c>
      <c r="B17" s="4">
        <v>1.5</v>
      </c>
      <c r="C17" s="2"/>
      <c r="D17" s="2"/>
      <c r="E17" s="2"/>
    </row>
    <row r="18" spans="1:5" ht="16.5" thickTop="1" thickBot="1">
      <c r="A18" t="s">
        <v>20</v>
      </c>
      <c r="B18" s="4">
        <v>2</v>
      </c>
      <c r="C18" s="2"/>
      <c r="D18" s="2"/>
      <c r="E18" s="2"/>
    </row>
    <row r="19" spans="1:5" ht="16.5" thickTop="1" thickBot="1">
      <c r="A19" t="s">
        <v>21</v>
      </c>
      <c r="B19" s="4">
        <v>14.5</v>
      </c>
      <c r="C19" s="2"/>
      <c r="D19" s="2"/>
      <c r="E19" s="2"/>
    </row>
    <row r="20" spans="1:5" ht="15.75" thickTop="1">
      <c r="A20" t="s">
        <v>22</v>
      </c>
      <c r="B20" s="2">
        <f>B16-((B19*B18)*6)</f>
        <v>2926.45</v>
      </c>
      <c r="C20" s="2"/>
      <c r="D20" s="2"/>
      <c r="E20" s="2"/>
    </row>
    <row r="21" spans="1:5">
      <c r="A21" t="s">
        <v>23</v>
      </c>
      <c r="B21" s="2">
        <f>B19*B18+B17</f>
        <v>30.5</v>
      </c>
      <c r="C21" s="2"/>
      <c r="D21" s="2"/>
      <c r="E21" s="2"/>
    </row>
    <row r="22" spans="1:5">
      <c r="A22" t="s">
        <v>24</v>
      </c>
      <c r="B22" s="2">
        <f>B5-B21</f>
        <v>19.5</v>
      </c>
      <c r="C22" s="2"/>
      <c r="D22" s="2"/>
      <c r="E22" s="2"/>
    </row>
    <row r="23" spans="1:5">
      <c r="A23" t="s">
        <v>25</v>
      </c>
      <c r="B23" s="2">
        <f>(B19/B22)*60</f>
        <v>44.615384615384613</v>
      </c>
    </row>
  </sheetData>
  <sheetProtection algorithmName="SHA-512" hashValue="1F/mWujlatfFPq6iv6lvMH5v+39pXfvHlWjWFSv4PB9i0TJSP6oCOkOW2EPiMUGPOM9BRY8YCc0Zu79b5F2lzQ==" saltValue="EdfV2qTw93ZLsDv6k57ABQ==" spinCount="100000" sheet="1" select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AeroValley Flying Club</cp:lastModifiedBy>
  <cp:revision/>
  <dcterms:created xsi:type="dcterms:W3CDTF">2018-04-29T04:08:00Z</dcterms:created>
  <dcterms:modified xsi:type="dcterms:W3CDTF">2022-07-05T02:11:14Z</dcterms:modified>
  <cp:category/>
  <cp:contentStatus/>
</cp:coreProperties>
</file>